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4240" windowHeight="13140"/>
  </bookViews>
  <sheets>
    <sheet name="PRODUCCION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1" l="1"/>
  <c r="G49" i="1"/>
  <c r="F49" i="1"/>
  <c r="E49" i="1"/>
  <c r="D49" i="1"/>
  <c r="J48" i="1"/>
  <c r="J47" i="1"/>
  <c r="J46" i="1"/>
  <c r="J45" i="1"/>
  <c r="J44" i="1"/>
  <c r="J43" i="1"/>
  <c r="H43" i="1"/>
  <c r="H49" i="1" s="1"/>
  <c r="J42" i="1"/>
  <c r="K46" i="1" l="1"/>
  <c r="K47" i="1"/>
  <c r="K44" i="1"/>
  <c r="K48" i="1"/>
  <c r="J49" i="1"/>
  <c r="H15" i="1"/>
  <c r="J7" i="1" s="1"/>
  <c r="K42" i="1" l="1"/>
  <c r="K45" i="1"/>
  <c r="K43" i="1"/>
  <c r="J8" i="1"/>
  <c r="I7" i="1"/>
  <c r="I14" i="1" l="1"/>
  <c r="J15" i="1" l="1"/>
  <c r="J14" i="1"/>
  <c r="I13" i="1"/>
  <c r="J13" i="1"/>
  <c r="J9" i="1" l="1"/>
  <c r="J10" i="1"/>
  <c r="J11" i="1"/>
  <c r="J12" i="1"/>
  <c r="I9" i="1"/>
  <c r="I10" i="1"/>
  <c r="I12" i="1"/>
  <c r="AG16" i="1"/>
  <c r="AG13" i="1"/>
  <c r="AF13" i="1"/>
  <c r="AH13" i="1" s="1"/>
  <c r="AA4" i="1"/>
  <c r="AE14" i="1"/>
  <c r="AE15" i="1"/>
  <c r="AE16" i="1"/>
  <c r="AE17" i="1"/>
  <c r="AE18" i="1"/>
  <c r="AC19" i="1"/>
  <c r="AA18" i="1"/>
  <c r="AA17" i="1"/>
  <c r="AA16" i="1"/>
  <c r="AA15" i="1"/>
  <c r="AA11" i="1"/>
  <c r="AA12" i="1"/>
  <c r="AA13" i="1"/>
  <c r="AA14" i="1"/>
  <c r="AA10" i="1"/>
  <c r="X15" i="1"/>
  <c r="X16" i="1" s="1"/>
  <c r="X10" i="1" s="1"/>
  <c r="V8" i="1"/>
  <c r="W8" i="1" s="1"/>
  <c r="X9" i="1" l="1"/>
  <c r="X11" i="1" s="1"/>
  <c r="X12" i="1" s="1"/>
  <c r="AD13" i="1"/>
  <c r="AE13" i="1" s="1"/>
  <c r="AD11" i="1"/>
  <c r="AE11" i="1" s="1"/>
  <c r="AD12" i="1"/>
  <c r="AE12" i="1" s="1"/>
  <c r="AD10" i="1"/>
  <c r="AE10" i="1" s="1"/>
  <c r="AD9" i="1"/>
  <c r="X8" i="1"/>
  <c r="AD19" i="1" l="1"/>
  <c r="AE9" i="1"/>
  <c r="AE19" i="1" s="1"/>
  <c r="AE21" i="1" s="1"/>
  <c r="AD23" i="1" s="1"/>
  <c r="G11" i="1"/>
  <c r="I11" i="1" s="1"/>
  <c r="G8" i="1"/>
  <c r="I8" i="1" s="1"/>
  <c r="AE20" i="1" l="1"/>
  <c r="AF23" i="1"/>
  <c r="AF19" i="1"/>
  <c r="G15" i="1"/>
  <c r="F30" i="1" l="1"/>
  <c r="F32" i="1" s="1"/>
  <c r="F8" i="1" l="1"/>
  <c r="F15" i="1" l="1"/>
  <c r="E15" i="1" l="1"/>
  <c r="I15" i="1" s="1"/>
  <c r="D15" i="1"/>
  <c r="C15" i="1"/>
</calcChain>
</file>

<file path=xl/sharedStrings.xml><?xml version="1.0" encoding="utf-8"?>
<sst xmlns="http://schemas.openxmlformats.org/spreadsheetml/2006/main" count="73" uniqueCount="56">
  <si>
    <t>(Toneladas métricas)</t>
  </si>
  <si>
    <t>Producción (t)</t>
  </si>
  <si>
    <t>Especie</t>
  </si>
  <si>
    <t>Tilapia</t>
  </si>
  <si>
    <t>Trucha</t>
  </si>
  <si>
    <t>Camarón</t>
  </si>
  <si>
    <t>Langostino</t>
  </si>
  <si>
    <t>Pargo</t>
  </si>
  <si>
    <t>Ostras 1/</t>
  </si>
  <si>
    <t>2019a/</t>
  </si>
  <si>
    <t>Pesca y Acuicultura (INCOPESCA)</t>
  </si>
  <si>
    <t>Referencia.</t>
  </si>
  <si>
    <t xml:space="preserve">Total </t>
  </si>
  <si>
    <r>
      <t>Pargo</t>
    </r>
    <r>
      <rPr>
        <vertAlign val="superscript"/>
        <sz val="11"/>
        <color theme="1"/>
        <rFont val="Calibri"/>
        <family val="2"/>
        <scheme val="minor"/>
      </rPr>
      <t>1</t>
    </r>
  </si>
  <si>
    <r>
      <t xml:space="preserve">Ostras </t>
    </r>
    <r>
      <rPr>
        <vertAlign val="superscript"/>
        <sz val="11"/>
        <color theme="1"/>
        <rFont val="Calibri"/>
        <family val="2"/>
        <scheme val="minor"/>
      </rPr>
      <t>2</t>
    </r>
  </si>
  <si>
    <t>Costa Rica. Área en producción según especie acuícola,</t>
  </si>
  <si>
    <t>(hectáreas)</t>
  </si>
  <si>
    <t>Área (hectáreas)</t>
  </si>
  <si>
    <t>Área concesionada MINAE</t>
  </si>
  <si>
    <t>Pangasius</t>
  </si>
  <si>
    <t>0,98 hectáreas</t>
  </si>
  <si>
    <t>1,50 hectáreas por granja</t>
  </si>
  <si>
    <t>10 long línea para cultivo</t>
  </si>
  <si>
    <t xml:space="preserve"> </t>
  </si>
  <si>
    <t>1/ Unidad de medida: toneladas concha entera</t>
  </si>
  <si>
    <t>Ostras 2/</t>
  </si>
  <si>
    <t xml:space="preserve">Fuente: Sepsa, con información del Departamento de Fomento Acuicola del Instituto Costarricense de </t>
  </si>
  <si>
    <t>por periodo 2016-2021</t>
  </si>
  <si>
    <t>No semilla</t>
  </si>
  <si>
    <t>mortalidad</t>
  </si>
  <si>
    <t>sobrevida</t>
  </si>
  <si>
    <t>peso mayor igual 0,7</t>
  </si>
  <si>
    <t>TM</t>
  </si>
  <si>
    <t>TALLA LONGITUD Y PESO</t>
  </si>
  <si>
    <t>Peso = -15.4352 + 0.7968 Altura;</t>
  </si>
  <si>
    <t>altura mm</t>
  </si>
  <si>
    <t>mm</t>
  </si>
  <si>
    <t>Peso = -16.4566 + 3.066 Ancho</t>
  </si>
  <si>
    <t>gramos</t>
  </si>
  <si>
    <t>Pesos</t>
  </si>
  <si>
    <t>cm</t>
  </si>
  <si>
    <t>distribución</t>
  </si>
  <si>
    <t>Distrib normal</t>
  </si>
  <si>
    <t>pesos estimados</t>
  </si>
  <si>
    <t>comercial</t>
  </si>
  <si>
    <t>Etiquetas de fila</t>
  </si>
  <si>
    <t>Cuenta de mm</t>
  </si>
  <si>
    <t>avg</t>
  </si>
  <si>
    <t>dst</t>
  </si>
  <si>
    <t>KG</t>
  </si>
  <si>
    <t>Costa Rica. Producción acuícola según especie cultivada por período. 2017-2022</t>
  </si>
  <si>
    <t>2/ Unidad de medida: Semilla 2.8 - 4.2mm (8.82 Millones)</t>
  </si>
  <si>
    <t>Variación %
2021-2022</t>
  </si>
  <si>
    <t>% Participación
2022</t>
  </si>
  <si>
    <t>Nueve granjas de ostra en operación</t>
  </si>
  <si>
    <t>SEPSA, 2023. Secretaria Ejecutiva de Planificación Sectorial Agropecuaria No 31, serie cronológica 2017-2022. En línea www.sepsa.go.cr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</si>
</sst>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0.000"/>
    <numFmt numFmtId="166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0">
    <xf numFmtId="0" fontId="0" fillId="0" borderId="0" xfId="0"/>
    <xf numFmtId="0" fontId="0" fillId="0" borderId="5" xfId="0" applyBorder="1"/>
    <xf numFmtId="0" fontId="0" fillId="0" borderId="6" xfId="0" applyBorder="1"/>
    <xf numFmtId="0" fontId="2" fillId="0" borderId="0" xfId="0" applyFont="1"/>
    <xf numFmtId="0" fontId="0" fillId="0" borderId="9" xfId="0" applyBorder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9" fontId="1" fillId="0" borderId="17" xfId="0" applyNumberFormat="1" applyFont="1" applyBorder="1" applyAlignment="1">
      <alignment horizontal="center" vertical="center" wrapText="1"/>
    </xf>
    <xf numFmtId="0" fontId="0" fillId="0" borderId="18" xfId="0" applyBorder="1"/>
    <xf numFmtId="0" fontId="1" fillId="0" borderId="19" xfId="0" applyFont="1" applyBorder="1" applyAlignment="1">
      <alignment horizontal="center" vertical="center"/>
    </xf>
    <xf numFmtId="0" fontId="5" fillId="0" borderId="0" xfId="0" applyFont="1"/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left" indent="1"/>
    </xf>
    <xf numFmtId="165" fontId="0" fillId="0" borderId="0" xfId="0" applyNumberFormat="1" applyAlignment="1">
      <alignment horizontal="left"/>
    </xf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/>
    <xf numFmtId="166" fontId="0" fillId="0" borderId="11" xfId="1" applyNumberFormat="1" applyFont="1" applyBorder="1" applyAlignment="1">
      <alignment horizontal="center"/>
    </xf>
    <xf numFmtId="9" fontId="0" fillId="0" borderId="0" xfId="0" applyNumberFormat="1"/>
    <xf numFmtId="164" fontId="0" fillId="0" borderId="0" xfId="0" applyNumberFormat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2" borderId="21" xfId="0" applyFill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16" xfId="0" applyFill="1" applyBorder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165" fontId="0" fillId="0" borderId="0" xfId="0" applyNumberFormat="1"/>
    <xf numFmtId="164" fontId="7" fillId="0" borderId="0" xfId="0" applyNumberFormat="1" applyFont="1"/>
    <xf numFmtId="1" fontId="0" fillId="3" borderId="0" xfId="0" applyNumberFormat="1" applyFill="1" applyAlignment="1">
      <alignment horizontal="center"/>
    </xf>
    <xf numFmtId="1" fontId="0" fillId="3" borderId="0" xfId="0" applyNumberFormat="1" applyFill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2" fontId="0" fillId="0" borderId="0" xfId="0" applyNumberFormat="1" applyAlignment="1">
      <alignment horizontal="center"/>
    </xf>
    <xf numFmtId="166" fontId="0" fillId="0" borderId="0" xfId="1" applyNumberFormat="1" applyFont="1" applyAlignment="1">
      <alignment horizontal="center"/>
    </xf>
    <xf numFmtId="0" fontId="1" fillId="0" borderId="0" xfId="0" applyFont="1"/>
    <xf numFmtId="43" fontId="0" fillId="0" borderId="10" xfId="2" applyFont="1" applyBorder="1" applyAlignment="1">
      <alignment horizontal="center"/>
    </xf>
    <xf numFmtId="43" fontId="0" fillId="0" borderId="16" xfId="2" applyFont="1" applyBorder="1" applyAlignment="1">
      <alignment horizontal="center"/>
    </xf>
    <xf numFmtId="43" fontId="1" fillId="0" borderId="10" xfId="2" applyFont="1" applyBorder="1" applyAlignment="1">
      <alignment horizontal="center"/>
    </xf>
    <xf numFmtId="43" fontId="0" fillId="0" borderId="1" xfId="2" applyFont="1" applyBorder="1" applyAlignment="1">
      <alignment horizontal="center"/>
    </xf>
    <xf numFmtId="43" fontId="1" fillId="0" borderId="1" xfId="2" applyFont="1" applyBorder="1" applyAlignment="1">
      <alignment horizontal="center"/>
    </xf>
    <xf numFmtId="43" fontId="0" fillId="0" borderId="7" xfId="2" applyFont="1" applyBorder="1" applyAlignment="1">
      <alignment horizontal="center"/>
    </xf>
    <xf numFmtId="10" fontId="0" fillId="0" borderId="10" xfId="1" applyNumberFormat="1" applyFont="1" applyBorder="1" applyAlignment="1">
      <alignment horizontal="right"/>
    </xf>
    <xf numFmtId="43" fontId="0" fillId="0" borderId="0" xfId="2" applyFont="1"/>
    <xf numFmtId="43" fontId="0" fillId="0" borderId="0" xfId="2" applyFont="1" applyAlignment="1">
      <alignment horizontal="center"/>
    </xf>
    <xf numFmtId="43" fontId="0" fillId="0" borderId="0" xfId="0" applyNumberFormat="1"/>
    <xf numFmtId="10" fontId="0" fillId="0" borderId="10" xfId="1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10" fontId="0" fillId="0" borderId="18" xfId="1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palma\Desktop\&#205;ndice%20de%20Transparencia\Transparencia\Datos%20Abiertos\04.%20Pesta&#241;a%20Estadistica%20y%20registro%20del%20sector\05-Producci&#243;n%20acuicola\produccion_acuicola_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4790.435693634259" createdVersion="8" refreshedVersion="8" minRefreshableVersion="3" recordCount="10">
  <cacheSource type="worksheet">
    <worksheetSource ref="Z8:Z18" sheet="PRODUCCION" r:id="rId2"/>
  </cacheSource>
  <cacheFields count="1">
    <cacheField name="mm" numFmtId="0">
      <sharedItems containsSemiMixedTypes="0" containsString="0" containsNumber="1" containsInteger="1" minValue="10" maxValue="110" count="10">
        <n v="20"/>
        <n v="30"/>
        <n v="10"/>
        <n v="50"/>
        <n v="60"/>
        <n v="70"/>
        <n v="80"/>
        <n v="90"/>
        <n v="100"/>
        <n v="11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outline="1" outlineData="1" multipleFieldFilters="0" chartFormat="3">
  <location ref="Z21:AA31" firstHeaderRow="1" firstDataRow="1" firstDataCol="1"/>
  <pivotFields count="1">
    <pivotField axis="axisRow" dataField="1" showAll="0">
      <items count="11">
        <item x="2"/>
        <item x="0"/>
        <item x="1"/>
        <item x="3"/>
        <item x="4"/>
        <item x="5"/>
        <item x="6"/>
        <item x="7"/>
        <item x="8"/>
        <item x="9"/>
        <item t="default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Items count="1">
    <i/>
  </colItems>
  <dataFields count="1">
    <dataField name="Cuenta de mm" fld="0" subtotal="count" showDataAs="percentOfTotal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53"/>
  <sheetViews>
    <sheetView showGridLines="0" tabSelected="1" zoomScale="90" zoomScaleNormal="90" workbookViewId="0">
      <selection activeCell="N48" sqref="N48"/>
    </sheetView>
  </sheetViews>
  <sheetFormatPr baseColWidth="10" defaultRowHeight="15" x14ac:dyDescent="0.25"/>
  <cols>
    <col min="3" max="6" width="12.140625" bestFit="1" customWidth="1"/>
    <col min="7" max="8" width="13.7109375" bestFit="1" customWidth="1"/>
    <col min="9" max="10" width="14.7109375" customWidth="1"/>
    <col min="11" max="11" width="13.7109375" customWidth="1"/>
    <col min="12" max="12" width="11.42578125" style="9"/>
    <col min="17" max="17" width="12.5703125" customWidth="1"/>
    <col min="18" max="18" width="6.42578125" bestFit="1" customWidth="1"/>
    <col min="22" max="22" width="12.5703125" customWidth="1"/>
    <col min="23" max="23" width="12" customWidth="1"/>
    <col min="24" max="24" width="19.140625" bestFit="1" customWidth="1"/>
    <col min="26" max="26" width="17.5703125" style="9" bestFit="1" customWidth="1"/>
    <col min="27" max="27" width="14.28515625" style="9" bestFit="1" customWidth="1"/>
    <col min="28" max="28" width="11.42578125" style="9"/>
    <col min="30" max="30" width="13.5703125" bestFit="1" customWidth="1"/>
    <col min="31" max="31" width="15.7109375" style="9" bestFit="1" customWidth="1"/>
  </cols>
  <sheetData>
    <row r="2" spans="2:34" ht="15.75" x14ac:dyDescent="0.25">
      <c r="B2" s="66" t="s">
        <v>50</v>
      </c>
      <c r="C2" s="66"/>
      <c r="D2" s="66"/>
      <c r="E2" s="66"/>
      <c r="F2" s="66"/>
      <c r="G2" s="66"/>
      <c r="H2" s="66"/>
      <c r="I2" s="66"/>
      <c r="N2" s="29"/>
    </row>
    <row r="3" spans="2:34" x14ac:dyDescent="0.25">
      <c r="B3" s="67" t="s">
        <v>0</v>
      </c>
      <c r="C3" s="67"/>
      <c r="D3" s="67"/>
      <c r="E3" s="67"/>
      <c r="F3" s="67"/>
      <c r="G3" s="67"/>
      <c r="H3" s="67"/>
      <c r="I3" s="67"/>
      <c r="K3" s="9"/>
      <c r="L3" s="68"/>
      <c r="N3" s="29"/>
    </row>
    <row r="4" spans="2:34" ht="15.75" thickBot="1" x14ac:dyDescent="0.3">
      <c r="K4" s="9"/>
      <c r="L4" s="68"/>
      <c r="M4" s="9"/>
      <c r="AA4" s="9">
        <f>100*400</f>
        <v>40000</v>
      </c>
    </row>
    <row r="5" spans="2:34" ht="15.75" thickBot="1" x14ac:dyDescent="0.3">
      <c r="B5" s="63" t="s">
        <v>1</v>
      </c>
      <c r="C5" s="64"/>
      <c r="D5" s="64"/>
      <c r="E5" s="64"/>
      <c r="F5" s="64"/>
      <c r="G5" s="64"/>
      <c r="H5" s="64"/>
      <c r="I5" s="65"/>
    </row>
    <row r="6" spans="2:34" ht="27.75" customHeight="1" thickBot="1" x14ac:dyDescent="0.3">
      <c r="B6" s="5" t="s">
        <v>2</v>
      </c>
      <c r="C6" s="6">
        <v>2017</v>
      </c>
      <c r="D6" s="6">
        <v>2018</v>
      </c>
      <c r="E6" s="6">
        <v>2019</v>
      </c>
      <c r="F6" s="11">
        <v>2020</v>
      </c>
      <c r="G6" s="6">
        <v>2021</v>
      </c>
      <c r="H6" s="6">
        <v>2022</v>
      </c>
      <c r="I6" s="7" t="s">
        <v>52</v>
      </c>
      <c r="J6" s="8" t="s">
        <v>53</v>
      </c>
      <c r="K6" s="9"/>
      <c r="X6" s="9" t="s">
        <v>32</v>
      </c>
    </row>
    <row r="7" spans="2:34" x14ac:dyDescent="0.25">
      <c r="B7" s="4" t="s">
        <v>3</v>
      </c>
      <c r="C7" s="49">
        <v>16735</v>
      </c>
      <c r="D7" s="49">
        <v>17708</v>
      </c>
      <c r="E7" s="49">
        <v>17923</v>
      </c>
      <c r="F7" s="50">
        <v>12654</v>
      </c>
      <c r="G7" s="51">
        <v>12929</v>
      </c>
      <c r="H7" s="51">
        <v>13949.3</v>
      </c>
      <c r="I7" s="59">
        <f>+((H7-G7)/H7)</f>
        <v>7.3143455227143966E-2</v>
      </c>
      <c r="J7" s="55">
        <f>H7/$H$15</f>
        <v>0.83168131473056062</v>
      </c>
      <c r="K7" s="38"/>
      <c r="N7" s="23"/>
      <c r="O7" s="44"/>
      <c r="U7" t="s">
        <v>28</v>
      </c>
      <c r="V7" t="s">
        <v>29</v>
      </c>
      <c r="W7" t="s">
        <v>30</v>
      </c>
      <c r="X7" t="s">
        <v>31</v>
      </c>
      <c r="AE7" s="9" t="s">
        <v>32</v>
      </c>
      <c r="AF7" t="s">
        <v>32</v>
      </c>
    </row>
    <row r="8" spans="2:34" x14ac:dyDescent="0.25">
      <c r="B8" s="1" t="s">
        <v>4</v>
      </c>
      <c r="C8" s="52">
        <v>800</v>
      </c>
      <c r="D8" s="52">
        <v>932</v>
      </c>
      <c r="E8" s="52">
        <v>873</v>
      </c>
      <c r="F8" s="52">
        <f>410+207+75</f>
        <v>692</v>
      </c>
      <c r="G8" s="51">
        <f>300+600</f>
        <v>900</v>
      </c>
      <c r="H8" s="51">
        <v>553.9</v>
      </c>
      <c r="I8" s="59">
        <f>+((H8-G8)/H8)</f>
        <v>-0.62484202924715659</v>
      </c>
      <c r="J8" s="55">
        <f>+H8/$H$15</f>
        <v>3.3024472929054326E-2</v>
      </c>
      <c r="K8" s="38"/>
      <c r="M8" s="9"/>
      <c r="O8" s="9"/>
      <c r="U8" s="10">
        <v>8699474</v>
      </c>
      <c r="V8" s="9">
        <f>+U8*0.7</f>
        <v>6089631.7999999998</v>
      </c>
      <c r="W8" s="41">
        <f>+U8-V8</f>
        <v>2609842.2000000002</v>
      </c>
      <c r="X8" s="38">
        <f>+W8*(40/1000)/1000*0.5</f>
        <v>52.196844000000006</v>
      </c>
      <c r="Z8" s="9" t="s">
        <v>36</v>
      </c>
      <c r="AA8" s="9" t="s">
        <v>40</v>
      </c>
      <c r="AB8" s="9" t="s">
        <v>39</v>
      </c>
      <c r="AC8" s="9" t="s">
        <v>41</v>
      </c>
      <c r="AD8" s="9" t="s">
        <v>42</v>
      </c>
      <c r="AE8" s="9" t="s">
        <v>43</v>
      </c>
      <c r="AF8" s="9" t="s">
        <v>44</v>
      </c>
    </row>
    <row r="9" spans="2:34" x14ac:dyDescent="0.25">
      <c r="B9" s="1" t="s">
        <v>19</v>
      </c>
      <c r="C9" s="52"/>
      <c r="D9" s="52"/>
      <c r="E9" s="52"/>
      <c r="F9" s="52">
        <v>30</v>
      </c>
      <c r="G9" s="51">
        <v>25</v>
      </c>
      <c r="H9" s="51">
        <v>84.3</v>
      </c>
      <c r="I9" s="59">
        <f t="shared" ref="I9:I13" si="0">+(H9-G9)/H9</f>
        <v>0.70344009489916959</v>
      </c>
      <c r="J9" s="55">
        <f t="shared" ref="J9:J15" si="1">+H9/$H$15</f>
        <v>5.0261113340301132E-3</v>
      </c>
      <c r="K9" s="38"/>
      <c r="O9" s="9"/>
      <c r="X9" s="9">
        <f>+W8*0.5</f>
        <v>1304921.1000000001</v>
      </c>
      <c r="Z9" s="9">
        <v>20</v>
      </c>
      <c r="AA9" s="9">
        <v>2</v>
      </c>
      <c r="AB9" s="9">
        <v>0.5</v>
      </c>
      <c r="AC9" s="9">
        <v>10</v>
      </c>
      <c r="AD9" s="37">
        <f>+$W$8*($AC$9/100)</f>
        <v>260984.22000000003</v>
      </c>
      <c r="AE9" s="26">
        <f>+(AB9/1000*AD9)/1000</f>
        <v>0.13049211000000002</v>
      </c>
    </row>
    <row r="10" spans="2:34" x14ac:dyDescent="0.25">
      <c r="B10" s="1" t="s">
        <v>5</v>
      </c>
      <c r="C10" s="52">
        <v>3027</v>
      </c>
      <c r="D10" s="52">
        <v>2689</v>
      </c>
      <c r="E10" s="52">
        <v>2500</v>
      </c>
      <c r="F10" s="52">
        <v>2200</v>
      </c>
      <c r="G10" s="51">
        <v>2600</v>
      </c>
      <c r="H10" s="51">
        <v>1121.68</v>
      </c>
      <c r="I10" s="59">
        <f t="shared" si="0"/>
        <v>-1.3179516439626273</v>
      </c>
      <c r="J10" s="55">
        <f t="shared" si="1"/>
        <v>6.6876495387365342E-2</v>
      </c>
      <c r="K10" s="38"/>
      <c r="U10" t="s">
        <v>33</v>
      </c>
      <c r="X10">
        <f>+X16/1000</f>
        <v>7.2212800000000008E-2</v>
      </c>
      <c r="Z10" s="9">
        <v>30</v>
      </c>
      <c r="AA10" s="9">
        <f>+Z10/10</f>
        <v>3</v>
      </c>
      <c r="AB10" s="9">
        <v>8.5</v>
      </c>
      <c r="AC10" s="9">
        <v>10</v>
      </c>
      <c r="AD10" s="37">
        <f t="shared" ref="AD10:AD12" si="2">+$W$8*($AC$9/100)</f>
        <v>260984.22000000003</v>
      </c>
      <c r="AE10" s="26">
        <f t="shared" ref="AE10:AE18" si="3">+(AB10/1000*AD10)/1000</f>
        <v>2.2183658700000004</v>
      </c>
    </row>
    <row r="11" spans="2:34" x14ac:dyDescent="0.25">
      <c r="B11" s="1" t="s">
        <v>6</v>
      </c>
      <c r="C11" s="52">
        <v>5</v>
      </c>
      <c r="D11" s="52">
        <v>4</v>
      </c>
      <c r="E11" s="52">
        <v>4</v>
      </c>
      <c r="F11" s="52">
        <v>0.95</v>
      </c>
      <c r="G11" s="51">
        <f>+((5+5000)*0.04+(M11*0.33)*0.04)/1000</f>
        <v>0.20020000000000002</v>
      </c>
      <c r="H11" s="51">
        <v>0.23</v>
      </c>
      <c r="I11" s="59">
        <f t="shared" si="0"/>
        <v>0.1295652173913043</v>
      </c>
      <c r="J11" s="55">
        <f t="shared" si="1"/>
        <v>1.3712996522264841E-5</v>
      </c>
      <c r="K11" s="38"/>
      <c r="M11" s="9"/>
      <c r="X11">
        <f>+X10*X9</f>
        <v>94232.006410080023</v>
      </c>
      <c r="Z11" s="9">
        <v>10</v>
      </c>
      <c r="AA11" s="9">
        <f t="shared" ref="AA11:AA18" si="4">+Z11/10</f>
        <v>1</v>
      </c>
      <c r="AB11" s="9">
        <v>16.399999999999999</v>
      </c>
      <c r="AC11" s="9">
        <v>10</v>
      </c>
      <c r="AD11" s="37">
        <f t="shared" si="2"/>
        <v>260984.22000000003</v>
      </c>
      <c r="AE11" s="26">
        <f t="shared" si="3"/>
        <v>4.2801412079999999</v>
      </c>
    </row>
    <row r="12" spans="2:34" x14ac:dyDescent="0.25">
      <c r="B12" s="1" t="s">
        <v>7</v>
      </c>
      <c r="C12" s="52">
        <v>550</v>
      </c>
      <c r="D12" s="52">
        <v>600</v>
      </c>
      <c r="E12" s="52">
        <v>750</v>
      </c>
      <c r="F12" s="52">
        <v>684</v>
      </c>
      <c r="G12" s="51">
        <v>850</v>
      </c>
      <c r="H12" s="51">
        <v>1050</v>
      </c>
      <c r="I12" s="59">
        <f t="shared" si="0"/>
        <v>0.19047619047619047</v>
      </c>
      <c r="J12" s="55">
        <f t="shared" si="1"/>
        <v>6.2602810210339491E-2</v>
      </c>
      <c r="K12" s="38"/>
      <c r="U12" t="s">
        <v>34</v>
      </c>
      <c r="X12" s="30">
        <f>+X11/1000</f>
        <v>94.232006410080018</v>
      </c>
      <c r="Y12" t="s">
        <v>32</v>
      </c>
      <c r="Z12" s="9">
        <v>50</v>
      </c>
      <c r="AA12" s="9">
        <f t="shared" si="4"/>
        <v>5</v>
      </c>
      <c r="AB12" s="9">
        <v>24.4</v>
      </c>
      <c r="AC12" s="9">
        <v>10</v>
      </c>
      <c r="AD12" s="37">
        <f t="shared" si="2"/>
        <v>260984.22000000003</v>
      </c>
      <c r="AE12" s="26">
        <f t="shared" si="3"/>
        <v>6.3680149680000007</v>
      </c>
      <c r="AF12" s="9" t="s">
        <v>49</v>
      </c>
      <c r="AG12" s="9" t="s">
        <v>49</v>
      </c>
    </row>
    <row r="13" spans="2:34" x14ac:dyDescent="0.25">
      <c r="B13" s="31" t="s">
        <v>8</v>
      </c>
      <c r="C13" s="52"/>
      <c r="D13" s="52"/>
      <c r="E13" s="52"/>
      <c r="F13" s="52"/>
      <c r="G13" s="53">
        <v>5.17</v>
      </c>
      <c r="H13" s="51">
        <v>13</v>
      </c>
      <c r="I13" s="59">
        <f t="shared" si="0"/>
        <v>0.60230769230769232</v>
      </c>
      <c r="J13" s="55">
        <f t="shared" si="1"/>
        <v>7.7508241212801278E-4</v>
      </c>
      <c r="K13" s="38"/>
      <c r="M13" s="48"/>
      <c r="U13" t="s">
        <v>35</v>
      </c>
      <c r="Z13" s="9">
        <v>60</v>
      </c>
      <c r="AA13" s="9">
        <f t="shared" si="4"/>
        <v>6</v>
      </c>
      <c r="AB13" s="9">
        <v>32.4</v>
      </c>
      <c r="AC13" s="9">
        <v>10</v>
      </c>
      <c r="AD13" s="37">
        <f>+W8*0.5</f>
        <v>1304921.1000000001</v>
      </c>
      <c r="AE13" s="26">
        <f t="shared" si="3"/>
        <v>42.279443639999997</v>
      </c>
      <c r="AF13" s="9">
        <f>5.17*1000</f>
        <v>5170</v>
      </c>
      <c r="AG13" s="9">
        <f>+AB13/1000</f>
        <v>3.2399999999999998E-2</v>
      </c>
      <c r="AH13">
        <f>+AF13/AG13</f>
        <v>159567.90123456792</v>
      </c>
    </row>
    <row r="14" spans="2:34" x14ac:dyDescent="0.25">
      <c r="B14" s="1" t="s">
        <v>25</v>
      </c>
      <c r="C14" s="52">
        <v>250000</v>
      </c>
      <c r="D14" s="52">
        <v>250000</v>
      </c>
      <c r="E14" s="52">
        <v>250000</v>
      </c>
      <c r="F14" s="52">
        <v>156000</v>
      </c>
      <c r="G14" s="52">
        <v>8699474</v>
      </c>
      <c r="H14" s="49">
        <v>8820000</v>
      </c>
      <c r="I14" s="59">
        <f>+(G14-F14)/E14</f>
        <v>34.173895999999999</v>
      </c>
      <c r="J14" s="55">
        <f t="shared" si="1"/>
        <v>525.86360576685172</v>
      </c>
      <c r="K14" s="38"/>
      <c r="U14" s="9" t="s">
        <v>36</v>
      </c>
      <c r="Z14" s="9">
        <v>70</v>
      </c>
      <c r="AA14" s="9">
        <f t="shared" si="4"/>
        <v>7</v>
      </c>
      <c r="AB14" s="9">
        <v>40.299999999999997</v>
      </c>
      <c r="AC14" s="9">
        <v>10</v>
      </c>
      <c r="AD14" s="37"/>
      <c r="AE14" s="26">
        <f t="shared" si="3"/>
        <v>0</v>
      </c>
    </row>
    <row r="15" spans="2:34" ht="15.75" thickBot="1" x14ac:dyDescent="0.3">
      <c r="B15" s="2" t="s">
        <v>12</v>
      </c>
      <c r="C15" s="54">
        <f>SUM(C7:C14)</f>
        <v>271117</v>
      </c>
      <c r="D15" s="54">
        <f>SUM(D7:D14)</f>
        <v>271933</v>
      </c>
      <c r="E15" s="54">
        <f>SUM(E7:E14)</f>
        <v>272050</v>
      </c>
      <c r="F15" s="54">
        <f>SUM(F7:$F$12)</f>
        <v>16260.95</v>
      </c>
      <c r="G15" s="54">
        <f>SUM(G7:G13)</f>
        <v>17309.370199999998</v>
      </c>
      <c r="H15" s="54">
        <f>+SUM(H7:H13)</f>
        <v>16772.409999999996</v>
      </c>
      <c r="I15" s="59">
        <f>+(G15-F15)/E15</f>
        <v>3.8537776144091044E-3</v>
      </c>
      <c r="J15" s="55">
        <f t="shared" si="1"/>
        <v>1</v>
      </c>
      <c r="U15" s="9">
        <v>110</v>
      </c>
      <c r="V15">
        <v>0.79679999999999995</v>
      </c>
      <c r="X15">
        <f>+V15*U15</f>
        <v>87.647999999999996</v>
      </c>
      <c r="Z15" s="9">
        <v>80</v>
      </c>
      <c r="AA15" s="9">
        <f t="shared" si="4"/>
        <v>8</v>
      </c>
      <c r="AB15" s="9">
        <v>48.3</v>
      </c>
      <c r="AC15" s="9">
        <v>10</v>
      </c>
      <c r="AD15" s="37"/>
      <c r="AE15" s="26">
        <f t="shared" si="3"/>
        <v>0</v>
      </c>
    </row>
    <row r="16" spans="2:34" x14ac:dyDescent="0.25">
      <c r="G16" s="56"/>
      <c r="H16" s="58"/>
      <c r="I16" s="19"/>
      <c r="J16" s="61"/>
      <c r="V16">
        <v>15.4352</v>
      </c>
      <c r="X16" s="40">
        <f>+X15-V16</f>
        <v>72.212800000000001</v>
      </c>
      <c r="Y16" t="s">
        <v>38</v>
      </c>
      <c r="Z16" s="9">
        <v>90</v>
      </c>
      <c r="AA16" s="9">
        <f t="shared" si="4"/>
        <v>9</v>
      </c>
      <c r="AB16" s="9">
        <v>56.3</v>
      </c>
      <c r="AC16" s="9">
        <v>10</v>
      </c>
      <c r="AD16" s="37"/>
      <c r="AE16" s="26">
        <f t="shared" si="3"/>
        <v>0</v>
      </c>
      <c r="AG16">
        <f>+(1000*650)/32.4</f>
        <v>20061.728395061727</v>
      </c>
    </row>
    <row r="17" spans="2:32" x14ac:dyDescent="0.25">
      <c r="B17" s="3"/>
      <c r="C17" s="3"/>
      <c r="D17" s="3"/>
      <c r="E17" s="3"/>
      <c r="F17" s="35"/>
      <c r="G17" s="3"/>
      <c r="H17" s="3"/>
      <c r="I17" s="3"/>
      <c r="J17" s="3"/>
      <c r="Z17" s="9">
        <v>100</v>
      </c>
      <c r="AA17" s="9">
        <f t="shared" si="4"/>
        <v>10</v>
      </c>
      <c r="AB17" s="9">
        <v>64.2</v>
      </c>
      <c r="AC17" s="9">
        <v>10</v>
      </c>
      <c r="AD17" s="37"/>
      <c r="AE17" s="26">
        <f t="shared" si="3"/>
        <v>0</v>
      </c>
    </row>
    <row r="18" spans="2:32" x14ac:dyDescent="0.25">
      <c r="B18" s="3" t="s">
        <v>24</v>
      </c>
      <c r="C18" s="3"/>
      <c r="D18" s="3"/>
      <c r="E18" s="3"/>
      <c r="F18" s="3"/>
      <c r="G18" s="3"/>
      <c r="H18" s="3"/>
      <c r="I18" s="3"/>
      <c r="J18" s="3"/>
      <c r="Z18" s="9">
        <v>110</v>
      </c>
      <c r="AA18" s="9">
        <f t="shared" si="4"/>
        <v>11</v>
      </c>
      <c r="AB18" s="9">
        <v>72.2</v>
      </c>
      <c r="AC18" s="9">
        <v>10</v>
      </c>
      <c r="AD18" s="37"/>
      <c r="AE18" s="26">
        <f t="shared" si="3"/>
        <v>0</v>
      </c>
    </row>
    <row r="19" spans="2:32" x14ac:dyDescent="0.25">
      <c r="B19" s="3" t="s">
        <v>51</v>
      </c>
      <c r="C19" s="3"/>
      <c r="D19" s="3"/>
      <c r="E19" s="3"/>
      <c r="F19" s="3"/>
      <c r="G19" s="3"/>
      <c r="H19" s="3"/>
      <c r="I19" s="3" t="s">
        <v>23</v>
      </c>
      <c r="J19" s="3"/>
      <c r="U19" t="s">
        <v>37</v>
      </c>
      <c r="AC19" s="9">
        <f>SUM(AC9:AC18)</f>
        <v>100</v>
      </c>
      <c r="AD19" s="42">
        <f>SUM(AD9:AD18)</f>
        <v>2348857.9800000004</v>
      </c>
      <c r="AE19" s="26">
        <f>SUM(AE9:AE18)</f>
        <v>55.276457795999995</v>
      </c>
      <c r="AF19" s="30">
        <f>SUM(AE13:AE19)</f>
        <v>97.555901435999999</v>
      </c>
    </row>
    <row r="20" spans="2:32" x14ac:dyDescent="0.25">
      <c r="B20" s="3" t="s">
        <v>26</v>
      </c>
      <c r="C20" s="3"/>
      <c r="D20" s="3"/>
      <c r="E20" s="3"/>
      <c r="F20" s="3"/>
      <c r="G20" s="3"/>
      <c r="H20" s="3"/>
      <c r="I20" s="3"/>
      <c r="J20" s="3"/>
      <c r="AE20" s="26">
        <f>AVERAGE(AE9:AE19)</f>
        <v>10.050265053818181</v>
      </c>
      <c r="AF20" t="s">
        <v>47</v>
      </c>
    </row>
    <row r="21" spans="2:32" x14ac:dyDescent="0.25">
      <c r="B21" s="3" t="s">
        <v>10</v>
      </c>
      <c r="C21" s="3"/>
      <c r="D21" s="3"/>
      <c r="E21" s="3"/>
      <c r="F21" s="3"/>
      <c r="G21" s="3"/>
      <c r="H21" s="3"/>
      <c r="I21" s="3"/>
      <c r="J21" s="3"/>
      <c r="Z21" s="43" t="s">
        <v>45</v>
      </c>
      <c r="AA21" t="s">
        <v>46</v>
      </c>
      <c r="AB21"/>
      <c r="AE21" s="46">
        <f>STDEV(AE9:AE19)</f>
        <v>19.482713967838158</v>
      </c>
      <c r="AF21" t="s">
        <v>48</v>
      </c>
    </row>
    <row r="22" spans="2:32" x14ac:dyDescent="0.25">
      <c r="L22" s="38"/>
      <c r="Z22" s="44">
        <v>10</v>
      </c>
      <c r="AA22" s="45">
        <v>0.1</v>
      </c>
      <c r="AB22"/>
    </row>
    <row r="23" spans="2:32" x14ac:dyDescent="0.25">
      <c r="B23" t="s">
        <v>11</v>
      </c>
      <c r="L23" s="47"/>
      <c r="Z23" s="44">
        <v>20</v>
      </c>
      <c r="AA23" s="45">
        <v>0.1</v>
      </c>
      <c r="AB23"/>
      <c r="AD23" s="27">
        <f>+AE21-AE23</f>
        <v>2.2827139678381592</v>
      </c>
      <c r="AE23" s="9">
        <v>17.2</v>
      </c>
      <c r="AF23" s="30">
        <f>+AE23+AE21</f>
        <v>36.682713967838154</v>
      </c>
    </row>
    <row r="24" spans="2:32" x14ac:dyDescent="0.25">
      <c r="B24" t="s">
        <v>55</v>
      </c>
      <c r="Z24" s="44">
        <v>30</v>
      </c>
      <c r="AA24" s="45">
        <v>0.1</v>
      </c>
      <c r="AB24"/>
      <c r="AD24" s="39"/>
      <c r="AF24" s="30"/>
    </row>
    <row r="25" spans="2:32" x14ac:dyDescent="0.25">
      <c r="Z25" s="44">
        <v>50</v>
      </c>
      <c r="AA25" s="45">
        <v>0.1</v>
      </c>
      <c r="AB25"/>
    </row>
    <row r="26" spans="2:32" x14ac:dyDescent="0.25">
      <c r="Z26" s="44">
        <v>60</v>
      </c>
      <c r="AA26" s="45">
        <v>0.1</v>
      </c>
      <c r="AB26"/>
    </row>
    <row r="27" spans="2:32" x14ac:dyDescent="0.25">
      <c r="Z27" s="44">
        <v>70</v>
      </c>
      <c r="AA27" s="45">
        <v>0.1</v>
      </c>
      <c r="AB27"/>
    </row>
    <row r="28" spans="2:32" ht="15.75" hidden="1" customHeight="1" thickBot="1" x14ac:dyDescent="0.3">
      <c r="B28" s="5"/>
      <c r="C28" s="6">
        <v>2017</v>
      </c>
      <c r="D28" s="6">
        <v>2018</v>
      </c>
      <c r="E28" s="6">
        <v>2019</v>
      </c>
      <c r="F28" s="11">
        <v>2020</v>
      </c>
      <c r="G28" s="11">
        <v>2021</v>
      </c>
      <c r="H28" s="11">
        <v>2022</v>
      </c>
      <c r="Z28" s="44">
        <v>80</v>
      </c>
      <c r="AA28" s="45">
        <v>0.1</v>
      </c>
      <c r="AB28"/>
    </row>
    <row r="29" spans="2:32" ht="15" hidden="1" customHeight="1" x14ac:dyDescent="0.25">
      <c r="B29" s="4" t="s">
        <v>3</v>
      </c>
      <c r="C29" s="49">
        <v>16735</v>
      </c>
      <c r="D29" s="49">
        <v>17708</v>
      </c>
      <c r="E29" s="49">
        <v>17923</v>
      </c>
      <c r="F29" s="50">
        <v>12654</v>
      </c>
      <c r="G29" s="52">
        <v>12929</v>
      </c>
      <c r="H29" s="52">
        <v>13949.3</v>
      </c>
      <c r="Z29" s="44">
        <v>90</v>
      </c>
      <c r="AA29" s="45">
        <v>0.1</v>
      </c>
      <c r="AB29"/>
    </row>
    <row r="30" spans="2:32" ht="15" hidden="1" customHeight="1" x14ac:dyDescent="0.25">
      <c r="B30" s="1" t="s">
        <v>4</v>
      </c>
      <c r="C30" s="52">
        <v>800</v>
      </c>
      <c r="D30" s="52">
        <v>932</v>
      </c>
      <c r="E30" s="52">
        <v>873</v>
      </c>
      <c r="F30" s="52">
        <f>410+207+75</f>
        <v>692</v>
      </c>
      <c r="G30" s="52">
        <v>900</v>
      </c>
      <c r="H30" s="52">
        <v>553.9</v>
      </c>
      <c r="Z30" s="44">
        <v>100</v>
      </c>
      <c r="AA30" s="45">
        <v>0.1</v>
      </c>
      <c r="AB30"/>
    </row>
    <row r="31" spans="2:32" ht="15" hidden="1" customHeight="1" x14ac:dyDescent="0.25">
      <c r="B31" s="1" t="s">
        <v>7</v>
      </c>
      <c r="C31" s="52">
        <v>550</v>
      </c>
      <c r="D31" s="52">
        <v>600</v>
      </c>
      <c r="E31" s="52">
        <v>750</v>
      </c>
      <c r="F31" s="52">
        <v>684</v>
      </c>
      <c r="G31" s="52">
        <v>850</v>
      </c>
      <c r="H31" s="52">
        <v>1050</v>
      </c>
      <c r="Z31" s="44">
        <v>110</v>
      </c>
      <c r="AA31" s="45">
        <v>0.1</v>
      </c>
      <c r="AB31"/>
    </row>
    <row r="32" spans="2:32" ht="15" hidden="1" customHeight="1" x14ac:dyDescent="0.25">
      <c r="F32" s="57">
        <f>SUM(F29:F31)</f>
        <v>14030</v>
      </c>
      <c r="G32" s="9"/>
      <c r="H32" s="9"/>
      <c r="Z32"/>
      <c r="AA32"/>
      <c r="AB32"/>
    </row>
    <row r="33" spans="3:28" ht="15" customHeight="1" x14ac:dyDescent="0.25">
      <c r="Z33"/>
      <c r="AA33"/>
      <c r="AB33"/>
    </row>
    <row r="34" spans="3:28" ht="15" customHeight="1" x14ac:dyDescent="0.25">
      <c r="Z34"/>
      <c r="AA34"/>
      <c r="AB34"/>
    </row>
    <row r="36" spans="3:28" ht="15.75" x14ac:dyDescent="0.25">
      <c r="C36" s="66" t="s">
        <v>15</v>
      </c>
      <c r="D36" s="66"/>
      <c r="E36" s="66"/>
      <c r="F36" s="66"/>
      <c r="G36" s="66"/>
      <c r="H36" s="66"/>
      <c r="I36" s="66"/>
      <c r="J36" s="66"/>
      <c r="K36" s="66"/>
    </row>
    <row r="37" spans="3:28" x14ac:dyDescent="0.25">
      <c r="C37" s="67" t="s">
        <v>27</v>
      </c>
      <c r="D37" s="67"/>
      <c r="E37" s="67"/>
      <c r="F37" s="67"/>
      <c r="G37" s="67"/>
      <c r="H37" s="67"/>
      <c r="I37" s="67"/>
      <c r="J37" s="67"/>
      <c r="K37" s="67"/>
    </row>
    <row r="38" spans="3:28" x14ac:dyDescent="0.25">
      <c r="C38" s="67" t="s">
        <v>16</v>
      </c>
      <c r="D38" s="67"/>
      <c r="E38" s="67"/>
      <c r="F38" s="67"/>
      <c r="G38" s="67"/>
      <c r="H38" s="67"/>
      <c r="I38" s="67"/>
      <c r="J38" s="67"/>
      <c r="K38" s="67"/>
    </row>
    <row r="39" spans="3:28" x14ac:dyDescent="0.25">
      <c r="C39" s="62"/>
      <c r="D39" s="62"/>
      <c r="E39" s="62"/>
      <c r="F39" s="62"/>
      <c r="G39" s="62"/>
      <c r="H39" s="62"/>
      <c r="I39" s="62"/>
      <c r="J39" s="62"/>
      <c r="K39" s="62"/>
    </row>
    <row r="40" spans="3:28" x14ac:dyDescent="0.25">
      <c r="C40" s="19"/>
      <c r="D40" s="69" t="s">
        <v>17</v>
      </c>
      <c r="E40" s="69"/>
      <c r="F40" s="69"/>
      <c r="G40" s="69"/>
      <c r="H40" s="69"/>
      <c r="I40" s="69"/>
      <c r="J40" s="69"/>
      <c r="K40" s="69"/>
    </row>
    <row r="41" spans="3:28" ht="45.75" thickBot="1" x14ac:dyDescent="0.3">
      <c r="C41" s="17" t="s">
        <v>2</v>
      </c>
      <c r="D41" s="20">
        <v>2016</v>
      </c>
      <c r="E41" s="20">
        <v>2017</v>
      </c>
      <c r="F41" s="20">
        <v>2018</v>
      </c>
      <c r="G41" s="20" t="s">
        <v>9</v>
      </c>
      <c r="H41" s="20">
        <v>2020</v>
      </c>
      <c r="I41" s="17">
        <v>2021</v>
      </c>
      <c r="J41" s="17">
        <v>2022</v>
      </c>
      <c r="K41" s="18" t="s">
        <v>53</v>
      </c>
    </row>
    <row r="42" spans="3:28" x14ac:dyDescent="0.25">
      <c r="C42" s="4" t="s">
        <v>3</v>
      </c>
      <c r="D42" s="12">
        <v>635</v>
      </c>
      <c r="E42" s="12">
        <v>610</v>
      </c>
      <c r="F42" s="12">
        <v>610</v>
      </c>
      <c r="G42" s="12">
        <v>560</v>
      </c>
      <c r="H42" s="36">
        <v>356</v>
      </c>
      <c r="I42" s="33">
        <v>356</v>
      </c>
      <c r="J42" s="33">
        <f>+I42</f>
        <v>356</v>
      </c>
      <c r="K42" s="28">
        <f>+J42/$J$49</f>
        <v>0.22498894015041396</v>
      </c>
    </row>
    <row r="43" spans="3:28" x14ac:dyDescent="0.25">
      <c r="C43" s="1" t="s">
        <v>4</v>
      </c>
      <c r="D43" s="13">
        <v>11</v>
      </c>
      <c r="E43" s="13">
        <v>11</v>
      </c>
      <c r="F43" s="13">
        <v>11</v>
      </c>
      <c r="G43" s="13">
        <v>11</v>
      </c>
      <c r="H43" s="10">
        <f>8+0.55</f>
        <v>8.5500000000000007</v>
      </c>
      <c r="I43" s="32">
        <v>8.5500000000000007</v>
      </c>
      <c r="J43" s="33">
        <f t="shared" ref="J43:J47" si="5">+I43</f>
        <v>8.5500000000000007</v>
      </c>
      <c r="K43" s="28">
        <f>+J43/$J$49</f>
        <v>5.4035265120394365E-3</v>
      </c>
    </row>
    <row r="44" spans="3:28" x14ac:dyDescent="0.25">
      <c r="C44" s="1" t="s">
        <v>19</v>
      </c>
      <c r="D44" s="13"/>
      <c r="E44" s="13"/>
      <c r="F44" s="13"/>
      <c r="G44" s="13"/>
      <c r="H44" s="10">
        <v>3.05</v>
      </c>
      <c r="I44" s="32">
        <v>3.05</v>
      </c>
      <c r="J44" s="33">
        <f t="shared" si="5"/>
        <v>3.05</v>
      </c>
      <c r="K44" s="28">
        <f t="shared" ref="K44:K48" si="6">+J44/$J$49</f>
        <v>1.9275737849965241E-3</v>
      </c>
    </row>
    <row r="45" spans="3:28" x14ac:dyDescent="0.25">
      <c r="C45" s="1" t="s">
        <v>5</v>
      </c>
      <c r="D45" s="13">
        <v>1425</v>
      </c>
      <c r="E45" s="13">
        <v>1500</v>
      </c>
      <c r="F45" s="13">
        <v>1500</v>
      </c>
      <c r="G45" s="13">
        <v>1450</v>
      </c>
      <c r="H45" s="25">
        <v>1200</v>
      </c>
      <c r="I45" s="33">
        <v>1200</v>
      </c>
      <c r="J45" s="33">
        <f t="shared" si="5"/>
        <v>1200</v>
      </c>
      <c r="K45" s="28">
        <f t="shared" si="6"/>
        <v>0.75838968590027178</v>
      </c>
    </row>
    <row r="46" spans="3:28" x14ac:dyDescent="0.25">
      <c r="C46" s="1" t="s">
        <v>6</v>
      </c>
      <c r="D46" s="13"/>
      <c r="E46" s="13"/>
      <c r="F46" s="13"/>
      <c r="G46" s="13"/>
      <c r="H46" s="10">
        <v>0.22</v>
      </c>
      <c r="I46" s="32">
        <v>0.22</v>
      </c>
      <c r="J46" s="33">
        <f t="shared" si="5"/>
        <v>0.22</v>
      </c>
      <c r="K46" s="28">
        <f t="shared" si="6"/>
        <v>1.390381090817165E-4</v>
      </c>
    </row>
    <row r="47" spans="3:28" ht="17.25" x14ac:dyDescent="0.25">
      <c r="C47" s="1" t="s">
        <v>13</v>
      </c>
      <c r="D47" s="22">
        <v>0.98</v>
      </c>
      <c r="E47" s="22">
        <v>0.98</v>
      </c>
      <c r="F47" s="22">
        <v>0.98</v>
      </c>
      <c r="G47" s="22">
        <v>0.98</v>
      </c>
      <c r="H47" s="10">
        <v>0.98</v>
      </c>
      <c r="I47" s="32">
        <v>0.98</v>
      </c>
      <c r="J47" s="33">
        <f t="shared" si="5"/>
        <v>0.98</v>
      </c>
      <c r="K47" s="28">
        <f t="shared" si="6"/>
        <v>6.1935157681855524E-4</v>
      </c>
    </row>
    <row r="48" spans="3:28" ht="17.25" x14ac:dyDescent="0.25">
      <c r="C48" s="1" t="s">
        <v>14</v>
      </c>
      <c r="D48" s="13"/>
      <c r="E48" s="13"/>
      <c r="F48" s="13"/>
      <c r="G48" s="13"/>
      <c r="H48" s="22"/>
      <c r="I48" s="34">
        <v>12</v>
      </c>
      <c r="J48" s="34">
        <f>9*1.5</f>
        <v>13.5</v>
      </c>
      <c r="K48" s="28">
        <f t="shared" si="6"/>
        <v>8.531883966378058E-3</v>
      </c>
    </row>
    <row r="49" spans="3:11" ht="15.75" thickBot="1" x14ac:dyDescent="0.3">
      <c r="C49" s="2" t="s">
        <v>12</v>
      </c>
      <c r="D49" s="14">
        <f t="shared" ref="D49:I49" si="7">SUM(D42:D48)</f>
        <v>2071.98</v>
      </c>
      <c r="E49" s="14">
        <f t="shared" si="7"/>
        <v>2121.98</v>
      </c>
      <c r="F49" s="14">
        <f t="shared" si="7"/>
        <v>2121.98</v>
      </c>
      <c r="G49" s="14">
        <f t="shared" si="7"/>
        <v>2021.98</v>
      </c>
      <c r="H49" s="15">
        <f t="shared" si="7"/>
        <v>1568.8</v>
      </c>
      <c r="I49" s="15">
        <f t="shared" si="7"/>
        <v>1580.8</v>
      </c>
      <c r="J49" s="60">
        <f>SUM(J42:J48)</f>
        <v>1582.3</v>
      </c>
      <c r="K49" s="16"/>
    </row>
    <row r="51" spans="3:11" x14ac:dyDescent="0.25">
      <c r="C51">
        <v>1</v>
      </c>
      <c r="D51" s="21" t="s">
        <v>18</v>
      </c>
      <c r="E51" s="21"/>
      <c r="F51" s="24" t="s">
        <v>20</v>
      </c>
    </row>
    <row r="52" spans="3:11" x14ac:dyDescent="0.25">
      <c r="C52">
        <v>2</v>
      </c>
      <c r="D52" s="21" t="s">
        <v>18</v>
      </c>
      <c r="E52" s="21"/>
      <c r="F52" t="s">
        <v>21</v>
      </c>
      <c r="G52" s="23"/>
      <c r="H52" t="s">
        <v>22</v>
      </c>
    </row>
    <row r="53" spans="3:11" x14ac:dyDescent="0.25">
      <c r="D53" t="s">
        <v>54</v>
      </c>
    </row>
  </sheetData>
  <mergeCells count="8">
    <mergeCell ref="C37:K37"/>
    <mergeCell ref="C38:K38"/>
    <mergeCell ref="D40:K40"/>
    <mergeCell ref="B5:I5"/>
    <mergeCell ref="B2:I2"/>
    <mergeCell ref="B3:I3"/>
    <mergeCell ref="L3:L4"/>
    <mergeCell ref="C36:K36"/>
  </mergeCell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PRODUCCION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2023-04-12T21:51:42Z</dcterms:created>
  <dcterms:modified xsi:type="dcterms:W3CDTF">2023-04-12T21:51:50Z</dcterms:modified>
</cp:coreProperties>
</file>